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K:\Sales\Sales Docs\"/>
    </mc:Choice>
  </mc:AlternateContent>
  <xr:revisionPtr revIDLastSave="0" documentId="8_{7756816E-B165-492F-9998-62A8C0084C86}" xr6:coauthVersionLast="47" xr6:coauthVersionMax="47" xr10:uidLastSave="{00000000-0000-0000-0000-000000000000}"/>
  <workbookProtection workbookAlgorithmName="SHA-512" workbookHashValue="Ihej4kIjtEPCITn//+qBFH1GiDflcwzcBIKJvXSPT1KNOrr+AHEwR6vJ/VS4h9/oFiT5CrTeFB0AOVHTbqHT9w==" workbookSaltValue="Y4Ey5zjat6+lWrOfrF6jhA==" workbookSpinCount="100000" lockStructure="1"/>
  <bookViews>
    <workbookView xWindow="-28920" yWindow="-120" windowWidth="29040" windowHeight="15840" xr2:uid="{035E7F19-DF2C-43C0-AEF4-17056CC9031A}"/>
  </bookViews>
  <sheets>
    <sheet name="Sheet1" sheetId="1" r:id="rId1"/>
  </sheets>
  <calcPr calcId="18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25" i="1" l="1"/>
  <c r="Q5" i="1" l="1"/>
  <c r="R5" i="1"/>
  <c r="S5" i="1"/>
  <c r="T5" i="1"/>
  <c r="U5" i="1"/>
  <c r="V5" i="1"/>
  <c r="W5" i="1"/>
  <c r="X5" i="1"/>
  <c r="P5" i="1"/>
  <c r="C19" i="1"/>
  <c r="C18" i="1"/>
  <c r="C20" i="1" s="1"/>
  <c r="I18" i="1" s="1"/>
  <c r="I9" i="1"/>
  <c r="I21" i="1"/>
  <c r="M7" i="1"/>
  <c r="F23" i="1"/>
  <c r="F8" i="1" s="1"/>
  <c r="F9" i="1"/>
  <c r="M6" i="1" s="1"/>
  <c r="I7" i="1"/>
  <c r="I6" i="1"/>
  <c r="M5" i="1" l="1"/>
  <c r="I22" i="1"/>
  <c r="M10" i="1" s="1"/>
  <c r="C21" i="1"/>
  <c r="I10" i="1"/>
  <c r="M8" i="1" s="1"/>
  <c r="I19" i="1" l="1"/>
  <c r="M9" i="1" s="1"/>
  <c r="I11" i="1"/>
  <c r="M12" i="1" l="1"/>
  <c r="M11" i="1"/>
</calcChain>
</file>

<file path=xl/sharedStrings.xml><?xml version="1.0" encoding="utf-8"?>
<sst xmlns="http://schemas.openxmlformats.org/spreadsheetml/2006/main" count="62" uniqueCount="61">
  <si>
    <t>Asset Information</t>
  </si>
  <si>
    <t>Maintenance Assumptions (per asset)</t>
  </si>
  <si>
    <t>Operational Assumptions</t>
  </si>
  <si>
    <t>Calculator Outputs</t>
  </si>
  <si>
    <t>Frequency of route-based data collection and vibration analysis
Standard: Quarterly</t>
  </si>
  <si>
    <t>Quarterly</t>
  </si>
  <si>
    <t>Revenues per hour
Standard: $10,000</t>
  </si>
  <si>
    <t xml:space="preserve"> Annual 
 Savings</t>
  </si>
  <si>
    <t xml:space="preserve">Preventive maintenance (PM) </t>
  </si>
  <si>
    <t>Average number of 
measurement points
Standard: 2</t>
  </si>
  <si>
    <t>Costs per hour 
(Fixed overhead, depreciation and labor)
Standard: 25% of revenues</t>
  </si>
  <si>
    <t>Repairs</t>
  </si>
  <si>
    <t>Cost of walk-around data collection and analysis
Standard: $50</t>
  </si>
  <si>
    <t>Profits per hour 
Standard: 5% of revenues</t>
  </si>
  <si>
    <t xml:space="preserve">Route-based monitoring </t>
  </si>
  <si>
    <t>Average annual PM costs
Standard: 15% of asset value</t>
  </si>
  <si>
    <t xml:space="preserve">Hours of production annually
Standard: 2880 hours </t>
  </si>
  <si>
    <t xml:space="preserve">Unplanned downtime </t>
  </si>
  <si>
    <t>Average annual repair costs
Standard: 6% of asset value</t>
  </si>
  <si>
    <t>Annual unplanned downtime from failure of rotating machines 
(% of production hours)</t>
  </si>
  <si>
    <t xml:space="preserve"> Investment</t>
  </si>
  <si>
    <t>Petasense Hardware and Setup
(Non-Recurring)</t>
  </si>
  <si>
    <t>Annual unplanned downtime from failure of rotating assets with Petasense system 
(% of production hours)</t>
  </si>
  <si>
    <t>Petasense Cloud Subsciption
(Annual Recurring)</t>
  </si>
  <si>
    <t>Production hours gained annually 
(Unplanned downtime reduction)</t>
  </si>
  <si>
    <t xml:space="preserve"> Returns</t>
  </si>
  <si>
    <t>Net Benefit (5-year)</t>
  </si>
  <si>
    <t>Payback Period (in months)</t>
  </si>
  <si>
    <t>Behind the Scenes</t>
  </si>
  <si>
    <t xml:space="preserve">Cost savings with Petasense (%)  </t>
  </si>
  <si>
    <t xml:space="preserve">Petasense System Costs </t>
  </si>
  <si>
    <t>Route-based Frequency Table</t>
  </si>
  <si>
    <t xml:space="preserve">Annual PM </t>
  </si>
  <si>
    <t>Vib Mote Cost - Model 1</t>
  </si>
  <si>
    <t>None</t>
  </si>
  <si>
    <t>Annual repairs</t>
  </si>
  <si>
    <t>Annually</t>
  </si>
  <si>
    <t>Annual route-based</t>
  </si>
  <si>
    <t>Setup Cost (per Mote)</t>
  </si>
  <si>
    <t>PM / Repair Cost Assumptions</t>
  </si>
  <si>
    <t>Monthly</t>
  </si>
  <si>
    <t>Annual PM Costs per Asset 
(% of Asset Value)</t>
  </si>
  <si>
    <t>Annual Repair Costs per Asset 
(% of Asset Value)</t>
  </si>
  <si>
    <t>Unplanned downtime reduction after implementing Petasense</t>
  </si>
  <si>
    <t>Selected Value</t>
  </si>
  <si>
    <r>
      <rPr>
        <b/>
        <sz val="11"/>
        <color theme="1"/>
        <rFont val="Calibri"/>
        <family val="2"/>
        <scheme val="minor"/>
      </rPr>
      <t>Number of Rotating Assets</t>
    </r>
    <r>
      <rPr>
        <sz val="11"/>
        <color theme="1"/>
        <rFont val="Calibri"/>
        <family val="2"/>
        <scheme val="minor"/>
      </rPr>
      <t xml:space="preserve">
Standard: 250</t>
    </r>
  </si>
  <si>
    <r>
      <rPr>
        <b/>
        <sz val="11"/>
        <color theme="1"/>
        <rFont val="Calibri"/>
        <family val="2"/>
        <scheme val="minor"/>
      </rPr>
      <t>Average Asset Value</t>
    </r>
    <r>
      <rPr>
        <sz val="11"/>
        <color theme="1"/>
        <rFont val="Calibri"/>
        <family val="2"/>
        <scheme val="minor"/>
      </rPr>
      <t xml:space="preserve">
Standard: $10,000</t>
    </r>
  </si>
  <si>
    <t>Vib Mote Cost - Model 3</t>
  </si>
  <si>
    <t>Estimated # of Vibration Motes</t>
  </si>
  <si>
    <t>Channel count</t>
  </si>
  <si>
    <t>VM1 count</t>
  </si>
  <si>
    <t>VM3 count</t>
  </si>
  <si>
    <t>Cloud Cost  (Monthly)</t>
  </si>
  <si>
    <t>Cloud Cost</t>
  </si>
  <si>
    <t>Bi-Annually</t>
  </si>
  <si>
    <t>Bi-Monthly</t>
  </si>
  <si>
    <t>VM1-to-VM3 Ratio</t>
  </si>
  <si>
    <r>
      <t xml:space="preserve">INSTRUCTIONS:
Customize the values inside the </t>
    </r>
    <r>
      <rPr>
        <b/>
        <sz val="11"/>
        <color theme="4" tint="0.59999389629810485"/>
        <rFont val="Calibri"/>
        <family val="2"/>
        <scheme val="minor"/>
      </rPr>
      <t>BLUE</t>
    </r>
    <r>
      <rPr>
        <b/>
        <sz val="11"/>
        <color theme="1"/>
        <rFont val="Calibri"/>
        <family val="2"/>
        <scheme val="minor"/>
      </rPr>
      <t xml:space="preserve"> fields.  All other fields will automatically adjust based on your inputs.
Optional: You can also adjust the values inside the </t>
    </r>
    <r>
      <rPr>
        <b/>
        <sz val="11"/>
        <color theme="0" tint="-0.34998626667073579"/>
        <rFont val="Calibri"/>
        <family val="2"/>
        <scheme val="minor"/>
      </rPr>
      <t>GREY</t>
    </r>
    <r>
      <rPr>
        <b/>
        <sz val="11"/>
        <color theme="1"/>
        <rFont val="Calibri"/>
        <family val="2"/>
        <scheme val="minor"/>
      </rPr>
      <t xml:space="preserve"> fields to match your specific operations. 
(Note - Doing this will delete the pre-set formulas used to populate the grey fields)</t>
    </r>
  </si>
  <si>
    <r>
      <t xml:space="preserve">ROI Calculator
</t>
    </r>
    <r>
      <rPr>
        <b/>
        <sz val="16"/>
        <color theme="1"/>
        <rFont val="Calibri"/>
        <family val="2"/>
        <scheme val="minor"/>
      </rPr>
      <t xml:space="preserve">for Rotating Assets
</t>
    </r>
    <r>
      <rPr>
        <b/>
        <sz val="12"/>
        <color theme="1"/>
        <rFont val="Calibri"/>
        <family val="2"/>
        <scheme val="minor"/>
      </rPr>
      <t>Ver 1.2</t>
    </r>
  </si>
  <si>
    <t xml:space="preserve">
</t>
  </si>
  <si>
    <t xml:space="preserve">
Asset Reliability &amp; Optimization System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</si>
</sst>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%"/>
    <numFmt numFmtId="166" formatCode="0.0"/>
    <numFmt numFmtId="167" formatCode="&quot;$&quot;#,##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4" tint="0.59999389629810485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theme="2" tint="-0.24994659260841701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0" fillId="0" borderId="2" xfId="0" applyBorder="1"/>
    <xf numFmtId="0" fontId="0" fillId="0" borderId="4" xfId="0" applyBorder="1" applyAlignment="1">
      <alignment wrapText="1"/>
    </xf>
    <xf numFmtId="0" fontId="0" fillId="0" borderId="4" xfId="0" applyBorder="1"/>
    <xf numFmtId="0" fontId="0" fillId="0" borderId="7" xfId="0" applyBorder="1" applyAlignment="1">
      <alignment wrapText="1"/>
    </xf>
    <xf numFmtId="0" fontId="0" fillId="0" borderId="8" xfId="0" applyBorder="1"/>
    <xf numFmtId="0" fontId="0" fillId="0" borderId="9" xfId="0" applyBorder="1" applyAlignment="1">
      <alignment wrapText="1"/>
    </xf>
    <xf numFmtId="164" fontId="0" fillId="0" borderId="8" xfId="1" applyNumberFormat="1" applyFont="1" applyBorder="1"/>
    <xf numFmtId="164" fontId="0" fillId="3" borderId="8" xfId="1" applyNumberFormat="1" applyFont="1" applyFill="1" applyBorder="1"/>
    <xf numFmtId="164" fontId="0" fillId="3" borderId="10" xfId="1" applyNumberFormat="1" applyFont="1" applyFill="1" applyBorder="1"/>
    <xf numFmtId="0" fontId="0" fillId="0" borderId="6" xfId="0" applyBorder="1"/>
    <xf numFmtId="165" fontId="0" fillId="0" borderId="8" xfId="2" applyNumberFormat="1" applyFont="1" applyBorder="1"/>
    <xf numFmtId="0" fontId="0" fillId="0" borderId="10" xfId="0" applyBorder="1"/>
    <xf numFmtId="165" fontId="0" fillId="3" borderId="8" xfId="2" applyNumberFormat="1" applyFont="1" applyFill="1" applyBorder="1"/>
    <xf numFmtId="0" fontId="0" fillId="0" borderId="17" xfId="0" applyBorder="1"/>
    <xf numFmtId="0" fontId="2" fillId="0" borderId="4" xfId="0" applyFont="1" applyBorder="1"/>
    <xf numFmtId="164" fontId="2" fillId="6" borderId="8" xfId="1" applyNumberFormat="1" applyFont="1" applyFill="1" applyBorder="1"/>
    <xf numFmtId="166" fontId="2" fillId="6" borderId="10" xfId="0" applyNumberFormat="1" applyFont="1" applyFill="1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5" xfId="0" applyBorder="1" applyAlignment="1">
      <alignment wrapText="1"/>
    </xf>
    <xf numFmtId="164" fontId="0" fillId="0" borderId="6" xfId="1" applyNumberFormat="1" applyFont="1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16" xfId="0" applyBorder="1"/>
    <xf numFmtId="164" fontId="0" fillId="0" borderId="2" xfId="1" applyNumberFormat="1" applyFont="1" applyBorder="1"/>
    <xf numFmtId="167" fontId="3" fillId="0" borderId="9" xfId="0" applyNumberFormat="1" applyFont="1" applyBorder="1" applyAlignment="1">
      <alignment horizontal="right"/>
    </xf>
    <xf numFmtId="167" fontId="3" fillId="0" borderId="17" xfId="0" applyNumberFormat="1" applyFont="1" applyBorder="1" applyAlignment="1">
      <alignment horizontal="right"/>
    </xf>
    <xf numFmtId="167" fontId="3" fillId="0" borderId="10" xfId="0" applyNumberFormat="1" applyFont="1" applyBorder="1" applyAlignment="1">
      <alignment horizontal="right"/>
    </xf>
    <xf numFmtId="0" fontId="0" fillId="0" borderId="22" xfId="0" applyBorder="1"/>
    <xf numFmtId="0" fontId="0" fillId="0" borderId="23" xfId="0" applyBorder="1"/>
    <xf numFmtId="164" fontId="0" fillId="4" borderId="8" xfId="1" applyNumberFormat="1" applyFont="1" applyFill="1" applyBorder="1" applyProtection="1">
      <protection locked="0"/>
    </xf>
    <xf numFmtId="0" fontId="0" fillId="4" borderId="8" xfId="0" applyFill="1" applyBorder="1" applyProtection="1">
      <protection locked="0"/>
    </xf>
    <xf numFmtId="165" fontId="0" fillId="0" borderId="6" xfId="2" applyNumberFormat="1" applyFont="1" applyBorder="1" applyProtection="1">
      <protection locked="0"/>
    </xf>
    <xf numFmtId="165" fontId="0" fillId="0" borderId="8" xfId="2" applyNumberFormat="1" applyFont="1" applyBorder="1" applyProtection="1">
      <protection locked="0"/>
    </xf>
    <xf numFmtId="165" fontId="0" fillId="0" borderId="10" xfId="2" applyNumberFormat="1" applyFont="1" applyBorder="1" applyProtection="1">
      <protection locked="0"/>
    </xf>
    <xf numFmtId="9" fontId="0" fillId="0" borderId="8" xfId="2" applyFont="1" applyBorder="1" applyProtection="1">
      <protection locked="0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2" fillId="5" borderId="16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9" fontId="0" fillId="0" borderId="10" xfId="2" applyFont="1" applyBorder="1" applyProtection="1">
      <protection locked="0"/>
    </xf>
    <xf numFmtId="164" fontId="0" fillId="4" borderId="10" xfId="1" applyNumberFormat="1" applyFont="1" applyFill="1" applyBorder="1" applyProtection="1">
      <protection locked="0"/>
    </xf>
    <xf numFmtId="0" fontId="0" fillId="0" borderId="0" xfId="0" applyBorder="1"/>
    <xf numFmtId="0" fontId="2" fillId="0" borderId="1" xfId="0" applyFont="1" applyBorder="1" applyAlignment="1">
      <alignment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/>
    <xf numFmtId="0" fontId="6" fillId="0" borderId="12" xfId="0" applyFont="1" applyBorder="1" applyAlignment="1">
      <alignment horizontal="left" vertical="center" wrapText="1"/>
    </xf>
    <xf numFmtId="0" fontId="0" fillId="0" borderId="13" xfId="0" applyBorder="1"/>
    <xf numFmtId="0" fontId="0" fillId="0" borderId="24" xfId="0" applyBorder="1" applyAlignment="1">
      <alignment horizontal="center" vertic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85725</xdr:colOff>
      <xdr:row>1</xdr:row>
      <xdr:rowOff>200025</xdr:rowOff>
    </xdr:from>
    <xdr:ext cx="2225584" cy="447675"/>
    <xdr:pic>
      <xdr:nvPicPr>
        <xdr:cNvPr id="2" name="image1.png" descr="FN LightBG.png" title="Image">
          <a:extLst>
            <a:ext uri="{FF2B5EF4-FFF2-40B4-BE49-F238E27FC236}">
              <a16:creationId xmlns:a16="http://schemas.microsoft.com/office/drawing/2014/main" id="{5821F1DA-D6FF-43B6-9EAC-72A9F1FA380C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81125" y="781050"/>
          <a:ext cx="2225584" cy="44767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EDA662-08BC-41C2-A01D-1E59A55F770C}">
  <dimension ref="A1:X25"/>
  <sheetViews>
    <sheetView tabSelected="1" workbookViewId="0">
      <selection activeCell="I11" sqref="I11"/>
    </sheetView>
  </sheetViews>
  <sheetFormatPr defaultRowHeight="15" x14ac:dyDescent="0.25"/>
  <cols>
    <col min="1" max="1" width="1.5703125" customWidth="1"/>
    <col min="2" max="2" width="25.140625" customWidth="1"/>
    <col min="3" max="3" width="11.5703125" bestFit="1" customWidth="1"/>
    <col min="4" max="4" width="1.5703125" customWidth="1"/>
    <col min="5" max="5" width="34.42578125" customWidth="1"/>
    <col min="6" max="6" width="10.5703125" bestFit="1" customWidth="1"/>
    <col min="7" max="7" width="1.5703125" customWidth="1"/>
    <col min="8" max="8" width="37.7109375" customWidth="1"/>
    <col min="9" max="9" width="11.5703125" bestFit="1" customWidth="1"/>
    <col min="10" max="10" width="1.5703125" customWidth="1"/>
    <col min="11" max="11" width="14.42578125" customWidth="1"/>
    <col min="12" max="12" width="28.140625" customWidth="1"/>
    <col min="13" max="13" width="14.28515625" bestFit="1" customWidth="1"/>
    <col min="14" max="14" width="10.140625" bestFit="1" customWidth="1"/>
    <col min="15" max="15" width="5" hidden="1" customWidth="1"/>
    <col min="16" max="22" width="6.5703125" hidden="1" customWidth="1"/>
    <col min="23" max="24" width="7.5703125" hidden="1" customWidth="1"/>
  </cols>
  <sheetData>
    <row r="1" spans="1:24" ht="45.75" thickBot="1" x14ac:dyDescent="0.3">
      <c r="A1" s="64" t="s">
        <v>59</v>
      </c>
      <c r="B1" s="1"/>
      <c r="C1" s="1"/>
      <c r="D1" s="1"/>
      <c r="E1" s="1"/>
      <c r="F1" s="63"/>
    </row>
    <row r="2" spans="1:24" ht="91.5" customHeight="1" thickBot="1" x14ac:dyDescent="0.3">
      <c r="B2" s="65" t="s">
        <v>60</v>
      </c>
      <c r="C2" s="69"/>
      <c r="D2" s="66"/>
      <c r="E2" s="67" t="s">
        <v>58</v>
      </c>
      <c r="F2" s="68"/>
      <c r="H2" s="43" t="s">
        <v>57</v>
      </c>
      <c r="I2" s="44"/>
      <c r="J2" s="44"/>
      <c r="K2" s="44"/>
      <c r="L2" s="44"/>
      <c r="M2" s="45"/>
    </row>
    <row r="3" spans="1:24" ht="15.75" thickBot="1" x14ac:dyDescent="0.3"/>
    <row r="4" spans="1:24" ht="15.75" thickBot="1" x14ac:dyDescent="0.3">
      <c r="B4" s="53" t="s">
        <v>0</v>
      </c>
      <c r="C4" s="54"/>
      <c r="E4" s="53" t="s">
        <v>1</v>
      </c>
      <c r="F4" s="54"/>
      <c r="H4" s="46" t="s">
        <v>2</v>
      </c>
      <c r="I4" s="47"/>
      <c r="K4" s="55" t="s">
        <v>3</v>
      </c>
      <c r="L4" s="56"/>
      <c r="M4" s="57"/>
      <c r="O4" s="40" t="s">
        <v>53</v>
      </c>
      <c r="P4" s="41"/>
      <c r="Q4" s="41"/>
      <c r="R4" s="41"/>
      <c r="S4" s="41"/>
      <c r="T4" s="41"/>
      <c r="U4" s="41"/>
      <c r="V4" s="41"/>
      <c r="W4" s="41"/>
      <c r="X4" s="42"/>
    </row>
    <row r="5" spans="1:24" ht="45" x14ac:dyDescent="0.25">
      <c r="B5" s="4" t="s">
        <v>45</v>
      </c>
      <c r="C5" s="35">
        <v>56</v>
      </c>
      <c r="E5" s="4" t="s">
        <v>4</v>
      </c>
      <c r="F5" s="35" t="s">
        <v>5</v>
      </c>
      <c r="H5" s="4" t="s">
        <v>6</v>
      </c>
      <c r="I5" s="34">
        <v>10000</v>
      </c>
      <c r="K5" s="58" t="s">
        <v>7</v>
      </c>
      <c r="L5" s="15" t="s">
        <v>8</v>
      </c>
      <c r="M5" s="16">
        <f>C5*F8*F18</f>
        <v>29399.999999999996</v>
      </c>
      <c r="O5" s="18">
        <v>1</v>
      </c>
      <c r="P5" s="27">
        <f>O6+1</f>
        <v>201</v>
      </c>
      <c r="Q5" s="27">
        <f t="shared" ref="Q5:X5" si="0">P6+1</f>
        <v>501</v>
      </c>
      <c r="R5" s="27">
        <f t="shared" si="0"/>
        <v>751</v>
      </c>
      <c r="S5" s="27">
        <f t="shared" si="0"/>
        <v>1001</v>
      </c>
      <c r="T5" s="27">
        <f t="shared" si="0"/>
        <v>2001</v>
      </c>
      <c r="U5" s="27">
        <f t="shared" si="0"/>
        <v>2501</v>
      </c>
      <c r="V5" s="27">
        <f t="shared" si="0"/>
        <v>3501</v>
      </c>
      <c r="W5" s="27">
        <f t="shared" si="0"/>
        <v>5001</v>
      </c>
      <c r="X5" s="10">
        <f t="shared" si="0"/>
        <v>7501</v>
      </c>
    </row>
    <row r="6" spans="1:24" ht="45.75" customHeight="1" thickBot="1" x14ac:dyDescent="0.3">
      <c r="B6" s="6" t="s">
        <v>46</v>
      </c>
      <c r="C6" s="62">
        <v>10000</v>
      </c>
      <c r="E6" s="4" t="s">
        <v>9</v>
      </c>
      <c r="F6" s="35">
        <v>2</v>
      </c>
      <c r="H6" s="4" t="s">
        <v>10</v>
      </c>
      <c r="I6" s="8">
        <f>I5*0.25</f>
        <v>2500</v>
      </c>
      <c r="K6" s="58"/>
      <c r="L6" s="3" t="s">
        <v>11</v>
      </c>
      <c r="M6" s="16">
        <f>C5*F9*F19</f>
        <v>11760</v>
      </c>
      <c r="O6" s="19">
        <v>200</v>
      </c>
      <c r="P6" s="3">
        <v>500</v>
      </c>
      <c r="Q6" s="3">
        <v>750</v>
      </c>
      <c r="R6" s="3">
        <v>1000</v>
      </c>
      <c r="S6" s="3">
        <v>2000</v>
      </c>
      <c r="T6" s="3">
        <v>2500</v>
      </c>
      <c r="U6" s="3">
        <v>3500</v>
      </c>
      <c r="V6" s="3">
        <v>5000</v>
      </c>
      <c r="W6" s="3">
        <v>7500</v>
      </c>
      <c r="X6" s="5">
        <v>10000</v>
      </c>
    </row>
    <row r="7" spans="1:24" ht="45.75" thickBot="1" x14ac:dyDescent="0.3">
      <c r="E7" s="4" t="s">
        <v>12</v>
      </c>
      <c r="F7" s="34">
        <v>50</v>
      </c>
      <c r="H7" s="4" t="s">
        <v>13</v>
      </c>
      <c r="I7" s="8">
        <f>I5*0.05</f>
        <v>500</v>
      </c>
      <c r="K7" s="58"/>
      <c r="L7" s="3" t="s">
        <v>14</v>
      </c>
      <c r="M7" s="16">
        <f>C5*F7*L25*F20</f>
        <v>8400</v>
      </c>
      <c r="O7" s="29">
        <v>999</v>
      </c>
      <c r="P7" s="30">
        <v>1799</v>
      </c>
      <c r="Q7" s="30">
        <v>2119</v>
      </c>
      <c r="R7" s="30">
        <v>2879</v>
      </c>
      <c r="S7" s="30">
        <v>5179</v>
      </c>
      <c r="T7" s="30">
        <v>5749</v>
      </c>
      <c r="U7" s="30">
        <v>7249</v>
      </c>
      <c r="V7" s="30">
        <v>9199</v>
      </c>
      <c r="W7" s="30">
        <v>12079</v>
      </c>
      <c r="X7" s="31">
        <v>14379</v>
      </c>
    </row>
    <row r="8" spans="1:24" ht="30" x14ac:dyDescent="0.25">
      <c r="E8" s="4" t="s">
        <v>15</v>
      </c>
      <c r="F8" s="8">
        <f>F23*C6</f>
        <v>1500</v>
      </c>
      <c r="H8" s="4" t="s">
        <v>16</v>
      </c>
      <c r="I8" s="35">
        <v>2880</v>
      </c>
      <c r="K8" s="58"/>
      <c r="L8" s="3" t="s">
        <v>17</v>
      </c>
      <c r="M8" s="16">
        <f>((I8)*(I6+I7))*(I9-I10)</f>
        <v>86400</v>
      </c>
    </row>
    <row r="9" spans="1:24" ht="45.75" thickBot="1" x14ac:dyDescent="0.3">
      <c r="E9" s="6" t="s">
        <v>18</v>
      </c>
      <c r="F9" s="9">
        <f>F24*C6</f>
        <v>600</v>
      </c>
      <c r="H9" s="4" t="s">
        <v>19</v>
      </c>
      <c r="I9" s="13">
        <f>IF(C5&lt;=50,1%,IF(C5&lt;=250,2%,IF(C5&gt;250,3%)))</f>
        <v>0.02</v>
      </c>
      <c r="K9" s="59" t="s">
        <v>20</v>
      </c>
      <c r="L9" s="2" t="s">
        <v>21</v>
      </c>
      <c r="M9" s="7">
        <f>((I18*(F6*I20))+(I19*(F6*(1-I20)))+I21*F6)*C5</f>
        <v>126448</v>
      </c>
    </row>
    <row r="10" spans="1:24" ht="45" customHeight="1" x14ac:dyDescent="0.25">
      <c r="H10" s="4" t="s">
        <v>22</v>
      </c>
      <c r="I10" s="11">
        <f>I9*I23</f>
        <v>0.01</v>
      </c>
      <c r="K10" s="59"/>
      <c r="L10" s="2" t="s">
        <v>23</v>
      </c>
      <c r="M10" s="7">
        <f>I22* 12</f>
        <v>25428</v>
      </c>
    </row>
    <row r="11" spans="1:24" ht="30.75" thickBot="1" x14ac:dyDescent="0.3">
      <c r="H11" s="6" t="s">
        <v>24</v>
      </c>
      <c r="I11" s="12">
        <f>I8*(I9-I10)</f>
        <v>28.8</v>
      </c>
      <c r="K11" s="59" t="s">
        <v>25</v>
      </c>
      <c r="L11" s="3" t="s">
        <v>26</v>
      </c>
      <c r="M11" s="16">
        <f>SUM(M5:M8)*5-M9-(M10*5)</f>
        <v>426212</v>
      </c>
    </row>
    <row r="12" spans="1:24" ht="15.75" thickBot="1" x14ac:dyDescent="0.3">
      <c r="K12" s="60"/>
      <c r="L12" s="14" t="s">
        <v>27</v>
      </c>
      <c r="M12" s="17">
        <f>((M9+M10)/SUM(M5:M7))*12</f>
        <v>36.773849878934627</v>
      </c>
    </row>
    <row r="14" spans="1:24" ht="15.75" thickBot="1" x14ac:dyDescent="0.3"/>
    <row r="15" spans="1:24" ht="15.75" thickBot="1" x14ac:dyDescent="0.3">
      <c r="A15" s="50" t="s">
        <v>28</v>
      </c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2"/>
    </row>
    <row r="16" spans="1:24" ht="15.75" thickBot="1" x14ac:dyDescent="0.3"/>
    <row r="17" spans="2:12" ht="15.75" thickBot="1" x14ac:dyDescent="0.3">
      <c r="E17" s="40" t="s">
        <v>29</v>
      </c>
      <c r="F17" s="42"/>
      <c r="H17" s="48" t="s">
        <v>30</v>
      </c>
      <c r="I17" s="49"/>
      <c r="K17" s="40" t="s">
        <v>31</v>
      </c>
      <c r="L17" s="42"/>
    </row>
    <row r="18" spans="2:12" ht="30" x14ac:dyDescent="0.25">
      <c r="B18" s="21" t="s">
        <v>48</v>
      </c>
      <c r="C18" s="10">
        <f>C5*F6</f>
        <v>112</v>
      </c>
      <c r="E18" s="18" t="s">
        <v>32</v>
      </c>
      <c r="F18" s="36">
        <v>0.35</v>
      </c>
      <c r="H18" s="18" t="s">
        <v>33</v>
      </c>
      <c r="I18" s="22">
        <f>IF(C20&gt;=100,399,IF(C20&gt;=50,449,499))</f>
        <v>499</v>
      </c>
      <c r="K18" s="25" t="s">
        <v>34</v>
      </c>
      <c r="L18" s="26">
        <v>0</v>
      </c>
    </row>
    <row r="19" spans="2:12" x14ac:dyDescent="0.25">
      <c r="B19" s="19" t="s">
        <v>49</v>
      </c>
      <c r="C19" s="5">
        <f>C5*(5*IF(F6&lt;3,1,2)+4*(F6-IF(F6&lt;3,1,2)))</f>
        <v>504</v>
      </c>
      <c r="E19" s="19" t="s">
        <v>35</v>
      </c>
      <c r="F19" s="37">
        <v>0.35</v>
      </c>
      <c r="H19" s="19" t="s">
        <v>47</v>
      </c>
      <c r="I19" s="7">
        <f>IF(C21&gt;=100,579,IF(C21&gt;=50,629,679))</f>
        <v>579</v>
      </c>
      <c r="K19" s="19" t="s">
        <v>36</v>
      </c>
      <c r="L19" s="5">
        <v>1</v>
      </c>
    </row>
    <row r="20" spans="2:12" ht="15.75" thickBot="1" x14ac:dyDescent="0.3">
      <c r="B20" s="19" t="s">
        <v>50</v>
      </c>
      <c r="C20" s="5">
        <f>I20*C18</f>
        <v>0</v>
      </c>
      <c r="E20" s="20" t="s">
        <v>37</v>
      </c>
      <c r="F20" s="38">
        <v>0.75</v>
      </c>
      <c r="H20" s="19" t="s">
        <v>56</v>
      </c>
      <c r="I20" s="39">
        <v>0</v>
      </c>
      <c r="K20" s="19" t="s">
        <v>54</v>
      </c>
      <c r="L20" s="5">
        <v>2</v>
      </c>
    </row>
    <row r="21" spans="2:12" ht="15.75" thickBot="1" x14ac:dyDescent="0.3">
      <c r="B21" s="20" t="s">
        <v>51</v>
      </c>
      <c r="C21" s="12">
        <f>(1-I20)*C18</f>
        <v>112</v>
      </c>
      <c r="H21" s="19" t="s">
        <v>38</v>
      </c>
      <c r="I21" s="7">
        <f>275*2</f>
        <v>550</v>
      </c>
      <c r="K21" s="19" t="s">
        <v>5</v>
      </c>
      <c r="L21" s="5">
        <v>4</v>
      </c>
    </row>
    <row r="22" spans="2:12" ht="15.75" thickBot="1" x14ac:dyDescent="0.3">
      <c r="E22" s="48" t="s">
        <v>39</v>
      </c>
      <c r="F22" s="49"/>
      <c r="H22" s="19" t="s">
        <v>52</v>
      </c>
      <c r="I22" s="7">
        <f>IFERROR(LOOKUP(C19,O5:X5,O7:X7),0)</f>
        <v>2119</v>
      </c>
      <c r="K22" s="32" t="s">
        <v>55</v>
      </c>
      <c r="L22" s="33">
        <v>6</v>
      </c>
    </row>
    <row r="23" spans="2:12" ht="30.75" thickBot="1" x14ac:dyDescent="0.3">
      <c r="E23" s="21" t="s">
        <v>41</v>
      </c>
      <c r="F23" s="36">
        <f>IF(C6&lt;=10000,15%,IF(C6&lt;=25000, 12%,IF(C6&lt;=50000,10%, IF(C6&gt;=50000,9%))))</f>
        <v>0.15</v>
      </c>
      <c r="H23" s="6" t="s">
        <v>43</v>
      </c>
      <c r="I23" s="61">
        <v>0.5</v>
      </c>
      <c r="K23" s="20" t="s">
        <v>40</v>
      </c>
      <c r="L23" s="12">
        <v>12</v>
      </c>
    </row>
    <row r="24" spans="2:12" ht="30.75" thickBot="1" x14ac:dyDescent="0.3">
      <c r="E24" s="6" t="s">
        <v>42</v>
      </c>
      <c r="F24" s="38">
        <v>0.06</v>
      </c>
      <c r="H24" s="1"/>
      <c r="I24" s="28"/>
    </row>
    <row r="25" spans="2:12" ht="15.75" thickBot="1" x14ac:dyDescent="0.3">
      <c r="K25" s="23" t="s">
        <v>44</v>
      </c>
      <c r="L25" s="24">
        <f>VLOOKUP(F5,$K$18:$L$23,2,FALSE)</f>
        <v>4</v>
      </c>
    </row>
  </sheetData>
  <sheetProtection algorithmName="SHA-512" hashValue="ipwjrv77FJ+LNHuvwxdFYCynZFzYhla6eGDKY34JL+aV1AePwBOa1wAHi30cSbv0KDnPpTz/fqmXy/9XGS54IQ==" saltValue="y43v+Nhc86/UZyF5W31UQw==" spinCount="100000" sheet="1" objects="1" scenarios="1"/>
  <mergeCells count="15">
    <mergeCell ref="O4:X4"/>
    <mergeCell ref="H2:M2"/>
    <mergeCell ref="H4:I4"/>
    <mergeCell ref="E17:F17"/>
    <mergeCell ref="E22:F22"/>
    <mergeCell ref="H17:I17"/>
    <mergeCell ref="K17:L17"/>
    <mergeCell ref="A15:M15"/>
    <mergeCell ref="B4:C4"/>
    <mergeCell ref="E4:F4"/>
    <mergeCell ref="K4:M4"/>
    <mergeCell ref="K5:K8"/>
    <mergeCell ref="K9:K10"/>
    <mergeCell ref="K11:K12"/>
    <mergeCell ref="B2:C2"/>
  </mergeCells>
  <dataValidations count="1">
    <dataValidation type="list" allowBlank="1" showInputMessage="1" showErrorMessage="1" sqref="F5" xr:uid="{ADA9BAA1-39A4-42E3-8BC6-6330268FFD5B}">
      <formula1>"None, Annually, Bi-Annually, Quarterly, Bi-Monthly, Monthly"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Staples</dc:creator>
  <cp:lastModifiedBy>Dave Staples</cp:lastModifiedBy>
  <dcterms:created xsi:type="dcterms:W3CDTF">2022-06-10T13:14:28Z</dcterms:created>
  <dcterms:modified xsi:type="dcterms:W3CDTF">2022-06-15T19:47:31Z</dcterms:modified>
</cp:coreProperties>
</file>